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g\Downloads\"/>
    </mc:Choice>
  </mc:AlternateContent>
  <xr:revisionPtr revIDLastSave="0" documentId="13_ncr:1_{4E58FA23-C263-4273-BFCE-534A30994293}" xr6:coauthVersionLast="47" xr6:coauthVersionMax="47" xr10:uidLastSave="{00000000-0000-0000-0000-000000000000}"/>
  <bookViews>
    <workbookView xWindow="-120" yWindow="-120" windowWidth="20730" windowHeight="11160" xr2:uid="{6D289582-9D7C-44D2-816B-B4275F30354E}"/>
  </bookViews>
  <sheets>
    <sheet name="CT thu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L33" i="1"/>
  <c r="K33" i="1"/>
  <c r="J33" i="1"/>
  <c r="I33" i="1"/>
  <c r="H33" i="1"/>
  <c r="N32" i="1"/>
  <c r="N33" i="1" s="1"/>
  <c r="N31" i="1"/>
  <c r="L31" i="1"/>
  <c r="K31" i="1"/>
  <c r="J31" i="1"/>
  <c r="I31" i="1"/>
  <c r="H31" i="1"/>
  <c r="M30" i="1"/>
  <c r="M31" i="1" s="1"/>
  <c r="N29" i="1"/>
  <c r="M29" i="1"/>
  <c r="J29" i="1"/>
  <c r="I29" i="1"/>
  <c r="H29" i="1"/>
  <c r="K28" i="1"/>
  <c r="L28" i="1" s="1"/>
  <c r="L29" i="1" s="1"/>
  <c r="N27" i="1"/>
  <c r="M27" i="1"/>
  <c r="L27" i="1"/>
  <c r="K27" i="1"/>
  <c r="J27" i="1"/>
  <c r="I27" i="1"/>
  <c r="G27" i="1" s="1"/>
  <c r="H27" i="1"/>
  <c r="K26" i="1"/>
  <c r="N25" i="1"/>
  <c r="M25" i="1"/>
  <c r="L25" i="1"/>
  <c r="K25" i="1"/>
  <c r="J25" i="1"/>
  <c r="I25" i="1"/>
  <c r="H25" i="1"/>
  <c r="G25" i="1" s="1"/>
  <c r="J24" i="1"/>
  <c r="N23" i="1"/>
  <c r="M23" i="1"/>
  <c r="L23" i="1"/>
  <c r="K23" i="1"/>
  <c r="J23" i="1"/>
  <c r="I23" i="1"/>
  <c r="G23" i="1" s="1"/>
  <c r="H23" i="1"/>
  <c r="I22" i="1"/>
  <c r="N21" i="1"/>
  <c r="M21" i="1"/>
  <c r="L21" i="1"/>
  <c r="K21" i="1"/>
  <c r="J21" i="1"/>
  <c r="I21" i="1"/>
  <c r="H20" i="1"/>
  <c r="H21" i="1" s="1"/>
  <c r="G21" i="1" s="1"/>
  <c r="M18" i="1"/>
  <c r="L18" i="1"/>
  <c r="K18" i="1"/>
  <c r="H16" i="1"/>
  <c r="J16" i="1" s="1"/>
  <c r="F16" i="1"/>
  <c r="H15" i="1"/>
  <c r="I15" i="1" s="1"/>
  <c r="F15" i="1"/>
  <c r="H14" i="1"/>
  <c r="J14" i="1" s="1"/>
  <c r="F14" i="1"/>
  <c r="H13" i="1"/>
  <c r="I13" i="1" s="1"/>
  <c r="F13" i="1"/>
  <c r="H12" i="1"/>
  <c r="J12" i="1" s="1"/>
  <c r="F12" i="1"/>
  <c r="H11" i="1"/>
  <c r="I11" i="1" s="1"/>
  <c r="F11" i="1"/>
  <c r="H10" i="1"/>
  <c r="J10" i="1" s="1"/>
  <c r="F10" i="1"/>
  <c r="H9" i="1"/>
  <c r="I9" i="1" s="1"/>
  <c r="F9" i="1"/>
  <c r="H8" i="1"/>
  <c r="J8" i="1" s="1"/>
  <c r="F8" i="1"/>
  <c r="H7" i="1"/>
  <c r="I7" i="1" s="1"/>
  <c r="F7" i="1"/>
  <c r="H6" i="1"/>
  <c r="J6" i="1" s="1"/>
  <c r="F6" i="1"/>
  <c r="H5" i="1"/>
  <c r="I5" i="1" s="1"/>
  <c r="F5" i="1"/>
  <c r="H4" i="1"/>
  <c r="J4" i="1" s="1"/>
  <c r="F4" i="1"/>
  <c r="G33" i="1" l="1"/>
  <c r="G31" i="1"/>
  <c r="J5" i="1"/>
  <c r="J7" i="1"/>
  <c r="J9" i="1"/>
  <c r="J11" i="1"/>
  <c r="J13" i="1"/>
  <c r="J15" i="1"/>
  <c r="K29" i="1"/>
  <c r="G29" i="1" s="1"/>
  <c r="I4" i="1"/>
  <c r="I6" i="1"/>
  <c r="I8" i="1"/>
  <c r="I10" i="1"/>
  <c r="I12" i="1"/>
  <c r="I14" i="1"/>
  <c r="I16" i="1"/>
</calcChain>
</file>

<file path=xl/sharedStrings.xml><?xml version="1.0" encoding="utf-8"?>
<sst xmlns="http://schemas.openxmlformats.org/spreadsheetml/2006/main" count="102" uniqueCount="68">
  <si>
    <t>Employees information</t>
  </si>
  <si>
    <t>Total gross_Tổng thu nhập trước thuế
(1)</t>
  </si>
  <si>
    <t>Tax Exempt-TN miễn thuế
(OT exempt,night shift
(2)</t>
  </si>
  <si>
    <t>Additional Non taxable-Cộng thêm ko chịu thuế
(3)</t>
  </si>
  <si>
    <t>Taxable income
TN chịu thuế
(4)= (1)-(2)-(3)</t>
  </si>
  <si>
    <t>Tax relief_giảm trừ thuế
(GT self, Dependant, BH…)
(5)</t>
  </si>
  <si>
    <r>
      <t>Assessable Income
TN tính thuế</t>
    </r>
    <r>
      <rPr>
        <b/>
        <i/>
        <sz val="11"/>
        <rFont val="Calibri"/>
        <family val="2"/>
        <scheme val="minor"/>
      </rPr>
      <t xml:space="preserve">
(6) = (4) - (5)</t>
    </r>
  </si>
  <si>
    <r>
      <t>PIT_Thuế</t>
    </r>
    <r>
      <rPr>
        <b/>
        <i/>
        <sz val="11"/>
        <color theme="1"/>
        <rFont val="Calibri"/>
        <family val="2"/>
        <scheme val="minor"/>
      </rPr>
      <t xml:space="preserve">
CÁCH 1</t>
    </r>
  </si>
  <si>
    <r>
      <t>PIT _Thuế</t>
    </r>
    <r>
      <rPr>
        <b/>
        <i/>
        <sz val="11"/>
        <color theme="1"/>
        <rFont val="Calibri"/>
        <family val="2"/>
        <scheme val="minor"/>
      </rPr>
      <t xml:space="preserve">
CÁCH 2</t>
    </r>
  </si>
  <si>
    <t>Bậc</t>
  </si>
  <si>
    <t>Thu nhập tính thuế /tháng</t>
  </si>
  <si>
    <t>Thuế suất</t>
  </si>
  <si>
    <t>Tính số thuế phải nộp</t>
  </si>
  <si>
    <t>Emp.Code</t>
  </si>
  <si>
    <t>Name of Emp.</t>
  </si>
  <si>
    <t>Cách 1</t>
  </si>
  <si>
    <t>Cách 2</t>
  </si>
  <si>
    <t>LIN01</t>
  </si>
  <si>
    <t>VŨ THANH TÙNG</t>
  </si>
  <si>
    <t>Đến 5 triệu đồng (trđ)</t>
  </si>
  <si>
    <t>0 trđ + 5% TNTT</t>
  </si>
  <si>
    <t>5% TNTT</t>
  </si>
  <si>
    <t>LIN02</t>
  </si>
  <si>
    <t>ĐỖ THỊ THU</t>
  </si>
  <si>
    <t>LIN03</t>
  </si>
  <si>
    <t>ĐÀO VIỆT TÚ</t>
  </si>
  <si>
    <t>Trên 5 trđ đến 10 trđ</t>
  </si>
  <si>
    <t>0,25 trđ + 10% TNTT trên 5 trđ</t>
  </si>
  <si>
    <t>10% TNTT - 0,25 trđ</t>
  </si>
  <si>
    <t>LIN04</t>
  </si>
  <si>
    <t>NGUYỄN KHẮC NHÂN</t>
  </si>
  <si>
    <t>LIN05</t>
  </si>
  <si>
    <t>NGUYỄN HỮU TÙNG</t>
  </si>
  <si>
    <t>Trên 10 trđ đến 18 trđ</t>
  </si>
  <si>
    <t>0,75 trđ + 15% TNTT trên 10 trđ</t>
  </si>
  <si>
    <t>15% TNTT - 0,75 trđ</t>
  </si>
  <si>
    <t>LIN06</t>
  </si>
  <si>
    <t>NGUYỄN VĂN SANG</t>
  </si>
  <si>
    <t>LIN07</t>
  </si>
  <si>
    <t>PHẠM HUY HIỆU</t>
  </si>
  <si>
    <t>Trên 18 trđ đến 32 trđ</t>
  </si>
  <si>
    <t>1,95 trđ + 20% TNTT trên 18 trđ</t>
  </si>
  <si>
    <t>20% TNTT - 1,65 trđ</t>
  </si>
  <si>
    <t>LIN08</t>
  </si>
  <si>
    <t xml:space="preserve">TRẦN XUÂN BÁCH </t>
  </si>
  <si>
    <t>LIN09</t>
  </si>
  <si>
    <t>NGÔ SÀI GÒN</t>
  </si>
  <si>
    <t>Trên 32 trđ đến 52 trđ</t>
  </si>
  <si>
    <t>4,75 trđ + 25% TNTT trên 32 trđ</t>
  </si>
  <si>
    <t>25% TNTT - 3,25 trđ</t>
  </si>
  <si>
    <t>LIN10</t>
  </si>
  <si>
    <t>ĐỖ THỊ HẢI YẾN</t>
  </si>
  <si>
    <t>LIN11</t>
  </si>
  <si>
    <t>NGUYỄN HÀ NỘI</t>
  </si>
  <si>
    <t>Trên 52 trđ đến 80 trđ</t>
  </si>
  <si>
    <t>9,75 trđ + 30% TNTT trên 52 trđ</t>
  </si>
  <si>
    <t>30 % TNTT - 5,85 trđ</t>
  </si>
  <si>
    <t>LIN12</t>
  </si>
  <si>
    <t>HOÀNG ĐÀ NẴNG</t>
  </si>
  <si>
    <t>LIN13</t>
  </si>
  <si>
    <t>NGUYỄN HẠNH HOA</t>
  </si>
  <si>
    <t>Trên 80 trđ</t>
  </si>
  <si>
    <t>18,15 trđ + 35% TNTT trên 80 trđ</t>
  </si>
  <si>
    <t>35% TNTT - 9,85 trđ</t>
  </si>
  <si>
    <t>TN tính thuế</t>
  </si>
  <si>
    <t>phân bổ</t>
  </si>
  <si>
    <t>Phần chênh lệch</t>
  </si>
  <si>
    <t>THIẾT LẬP CÔNG THỨC TÍNH THUẾ THU NHẬP CÁ NHÂN HỌC CÙNG HELEN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</si>
</sst>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_)_$_ ;_ * \(#,##0\)_$_ ;_ * &quot;-&quot;??_)_$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Tahoma"/>
      <family val="2"/>
    </font>
    <font>
      <b/>
      <sz val="9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0" fillId="6" borderId="2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3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/>
    </xf>
    <xf numFmtId="164" fontId="10" fillId="7" borderId="2" xfId="1" applyNumberFormat="1" applyFont="1" applyFill="1" applyBorder="1" applyAlignment="1">
      <alignment horizontal="center" vertical="center"/>
    </xf>
    <xf numFmtId="164" fontId="11" fillId="7" borderId="2" xfId="1" applyNumberFormat="1" applyFont="1" applyFill="1" applyBorder="1" applyAlignment="1">
      <alignment horizontal="center" vertical="center" wrapText="1"/>
    </xf>
    <xf numFmtId="164" fontId="16" fillId="7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 wrapText="1"/>
    </xf>
    <xf numFmtId="43" fontId="11" fillId="7" borderId="2" xfId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5" fillId="7" borderId="2" xfId="1" applyNumberFormat="1" applyFont="1" applyFill="1" applyBorder="1" applyAlignment="1">
      <alignment horizontal="center" vertical="center"/>
    </xf>
    <xf numFmtId="164" fontId="15" fillId="0" borderId="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5" fillId="3" borderId="2" xfId="2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Comma_Payroll-0107 &amp; bonus 2006" xfId="2" xr:uid="{27E37475-27A8-4FAF-9367-BCBFA0EB0F4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358E-B619-455D-BEE1-626D9D9205CB}">
  <sheetPr>
    <tabColor rgb="FFFF0000"/>
  </sheetPr>
  <dimension ref="A1:P35"/>
  <sheetViews>
    <sheetView tabSelected="1" zoomScaleNormal="100" workbookViewId="0">
      <selection activeCell="I8" sqref="I8"/>
    </sheetView>
  </sheetViews>
  <sheetFormatPr defaultColWidth="8.85546875" defaultRowHeight="15" x14ac:dyDescent="0.25"/>
  <cols>
    <col min="1" max="1" width="9.5703125" style="1" customWidth="1"/>
    <col min="2" max="2" width="20.85546875" style="1" customWidth="1"/>
    <col min="3" max="3" width="13.42578125" style="1" customWidth="1"/>
    <col min="4" max="5" width="17.42578125" style="1" customWidth="1"/>
    <col min="6" max="6" width="13.42578125" style="1" customWidth="1"/>
    <col min="7" max="7" width="18.42578125" style="1" customWidth="1"/>
    <col min="8" max="8" width="14.42578125" style="4" customWidth="1"/>
    <col min="9" max="11" width="14.42578125" style="1" customWidth="1"/>
    <col min="12" max="12" width="14" style="1" customWidth="1"/>
    <col min="13" max="13" width="14.42578125" style="1" customWidth="1"/>
    <col min="14" max="14" width="8.42578125" style="1" customWidth="1"/>
    <col min="15" max="15" width="20.85546875" style="1" customWidth="1"/>
    <col min="16" max="16" width="20.85546875" style="2" customWidth="1"/>
    <col min="17" max="16384" width="8.85546875" style="2"/>
  </cols>
  <sheetData>
    <row r="1" spans="1:16" ht="31.5" customHeight="1" x14ac:dyDescent="0.25">
      <c r="A1" s="42" t="s">
        <v>67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s="6" customFormat="1" ht="31.35" customHeight="1" x14ac:dyDescent="0.25">
      <c r="A2" s="43" t="s">
        <v>0</v>
      </c>
      <c r="B2" s="43"/>
      <c r="C2" s="44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5" t="s">
        <v>7</v>
      </c>
      <c r="J2" s="46" t="s">
        <v>8</v>
      </c>
      <c r="K2" s="4"/>
      <c r="L2" s="41" t="s">
        <v>9</v>
      </c>
      <c r="M2" s="41" t="s">
        <v>10</v>
      </c>
      <c r="N2" s="41" t="s">
        <v>11</v>
      </c>
      <c r="O2" s="41" t="s">
        <v>12</v>
      </c>
      <c r="P2" s="41"/>
    </row>
    <row r="3" spans="1:16" s="8" customFormat="1" ht="24" customHeight="1" x14ac:dyDescent="0.25">
      <c r="A3" s="3" t="s">
        <v>13</v>
      </c>
      <c r="B3" s="3" t="s">
        <v>14</v>
      </c>
      <c r="C3" s="44"/>
      <c r="D3" s="44"/>
      <c r="E3" s="44"/>
      <c r="F3" s="44"/>
      <c r="G3" s="44"/>
      <c r="H3" s="44"/>
      <c r="I3" s="45"/>
      <c r="J3" s="46"/>
      <c r="K3" s="4"/>
      <c r="L3" s="41"/>
      <c r="M3" s="41"/>
      <c r="N3" s="41"/>
      <c r="O3" s="5" t="s">
        <v>15</v>
      </c>
      <c r="P3" s="7" t="s">
        <v>16</v>
      </c>
    </row>
    <row r="4" spans="1:16" s="15" customFormat="1" ht="18" customHeight="1" x14ac:dyDescent="0.25">
      <c r="A4" s="9" t="s">
        <v>17</v>
      </c>
      <c r="B4" s="9" t="s">
        <v>18</v>
      </c>
      <c r="C4" s="10">
        <v>14561478.034090908</v>
      </c>
      <c r="D4" s="10">
        <v>58223.011363636382</v>
      </c>
      <c r="E4" s="10">
        <v>723809</v>
      </c>
      <c r="F4" s="11">
        <f t="shared" ref="F4:F16" si="0">C4-D4-E4</f>
        <v>13779446.022727272</v>
      </c>
      <c r="G4" s="10">
        <v>14034615</v>
      </c>
      <c r="H4" s="12">
        <f t="shared" ref="H4:H16" si="1">IF(F4-G4&lt;0,0,F4-G4)</f>
        <v>0</v>
      </c>
      <c r="I4" s="13">
        <f t="shared" ref="I4:I16" si="2">IF(H4&lt;=5000000,H4*5%,IF(H4&lt;=10000000,(H4-5000000)*10%+250000,IF(H4&lt;=18000000,(H4-10000000)*15%+750000,IF(H4&lt;=32000000,(H4-18000000)*20%+1950000,IF(H4&lt;=52000000,(H4-32000000)*25%+4750000,IF(H4&lt;=80000000,(H4-52000000)*30%+9750000,IF(H4&gt;80000000,(H4-80000000)*35%+18150000)))))))</f>
        <v>0</v>
      </c>
      <c r="J4" s="13">
        <f t="shared" ref="J4:J16" si="3">IF(H4&lt;=5000000,H4*5%,IF(H4&lt;=10000000,(H4*10%)-250000,IF(H4&lt;=18000000,(H4*15%)-750000,IF(H4&lt;=32000000,(H4*20%)-1650000,IF(H4&lt;=52000000,(H4*25%)-3250000,IF(H4&lt;=80000000,(H4*30%)-5850000,IF(H4&gt;80000000,(H4*35%)-9850000)))))))</f>
        <v>0</v>
      </c>
      <c r="K4" s="14"/>
      <c r="L4" s="36">
        <v>1</v>
      </c>
      <c r="M4" s="36" t="s">
        <v>19</v>
      </c>
      <c r="N4" s="37">
        <v>0.05</v>
      </c>
      <c r="O4" s="36" t="s">
        <v>20</v>
      </c>
      <c r="P4" s="38" t="s">
        <v>21</v>
      </c>
    </row>
    <row r="5" spans="1:16" s="15" customFormat="1" ht="18" customHeight="1" x14ac:dyDescent="0.25">
      <c r="A5" s="9" t="s">
        <v>22</v>
      </c>
      <c r="B5" s="16" t="s">
        <v>23</v>
      </c>
      <c r="C5" s="11">
        <v>21009208.857142858</v>
      </c>
      <c r="D5" s="11">
        <v>0</v>
      </c>
      <c r="E5" s="11">
        <v>228571</v>
      </c>
      <c r="F5" s="11">
        <f t="shared" si="0"/>
        <v>20780637.857142858</v>
      </c>
      <c r="G5" s="11">
        <v>16200000</v>
      </c>
      <c r="H5" s="17">
        <f t="shared" si="1"/>
        <v>4580637.8571428582</v>
      </c>
      <c r="I5" s="13">
        <f t="shared" si="2"/>
        <v>229031.89285714293</v>
      </c>
      <c r="J5" s="13">
        <f t="shared" si="3"/>
        <v>229031.89285714293</v>
      </c>
      <c r="K5" s="14"/>
      <c r="L5" s="36"/>
      <c r="M5" s="36"/>
      <c r="N5" s="37"/>
      <c r="O5" s="36"/>
      <c r="P5" s="38"/>
    </row>
    <row r="6" spans="1:16" s="15" customFormat="1" ht="18" customHeight="1" x14ac:dyDescent="0.25">
      <c r="A6" s="9" t="s">
        <v>24</v>
      </c>
      <c r="B6" s="16" t="s">
        <v>25</v>
      </c>
      <c r="C6" s="11">
        <v>19767119.90909091</v>
      </c>
      <c r="D6" s="11">
        <v>1415607.9545454546</v>
      </c>
      <c r="E6" s="11">
        <v>730000</v>
      </c>
      <c r="F6" s="11">
        <f t="shared" si="0"/>
        <v>17621511.954545457</v>
      </c>
      <c r="G6" s="11">
        <v>10687770</v>
      </c>
      <c r="H6" s="12">
        <f t="shared" si="1"/>
        <v>6933741.9545454569</v>
      </c>
      <c r="I6" s="13">
        <f t="shared" si="2"/>
        <v>443374.19545454567</v>
      </c>
      <c r="J6" s="13">
        <f t="shared" si="3"/>
        <v>443374.19545454578</v>
      </c>
      <c r="K6" s="14"/>
      <c r="L6" s="36">
        <v>2</v>
      </c>
      <c r="M6" s="36" t="s">
        <v>26</v>
      </c>
      <c r="N6" s="37">
        <v>0.1</v>
      </c>
      <c r="O6" s="36" t="s">
        <v>27</v>
      </c>
      <c r="P6" s="38" t="s">
        <v>28</v>
      </c>
    </row>
    <row r="7" spans="1:16" s="15" customFormat="1" ht="18" customHeight="1" x14ac:dyDescent="0.25">
      <c r="A7" s="9" t="s">
        <v>29</v>
      </c>
      <c r="B7" s="16" t="s">
        <v>30</v>
      </c>
      <c r="C7" s="11">
        <v>18536837</v>
      </c>
      <c r="D7" s="11">
        <v>0</v>
      </c>
      <c r="E7" s="11">
        <v>730000</v>
      </c>
      <c r="F7" s="11">
        <f t="shared" si="0"/>
        <v>17806837</v>
      </c>
      <c r="G7" s="11">
        <v>10862368</v>
      </c>
      <c r="H7" s="12">
        <f t="shared" si="1"/>
        <v>6944469</v>
      </c>
      <c r="I7" s="13">
        <f t="shared" si="2"/>
        <v>444446.9</v>
      </c>
      <c r="J7" s="13">
        <f t="shared" si="3"/>
        <v>444446.9</v>
      </c>
      <c r="K7" s="14"/>
      <c r="L7" s="36"/>
      <c r="M7" s="36"/>
      <c r="N7" s="37"/>
      <c r="O7" s="36"/>
      <c r="P7" s="38"/>
    </row>
    <row r="8" spans="1:16" s="15" customFormat="1" ht="18" customHeight="1" x14ac:dyDescent="0.25">
      <c r="A8" s="9" t="s">
        <v>31</v>
      </c>
      <c r="B8" s="16" t="s">
        <v>32</v>
      </c>
      <c r="C8" s="11">
        <v>29405904</v>
      </c>
      <c r="D8" s="10">
        <v>158223.011363636</v>
      </c>
      <c r="E8" s="11">
        <v>730000</v>
      </c>
      <c r="F8" s="11">
        <f t="shared" si="0"/>
        <v>28517680.988636363</v>
      </c>
      <c r="G8" s="11">
        <v>15607620</v>
      </c>
      <c r="H8" s="12">
        <f t="shared" si="1"/>
        <v>12910060.988636363</v>
      </c>
      <c r="I8" s="13">
        <f t="shared" si="2"/>
        <v>1186509.1482954544</v>
      </c>
      <c r="J8" s="13">
        <f t="shared" si="3"/>
        <v>1186509.1482954544</v>
      </c>
      <c r="K8" s="14"/>
      <c r="L8" s="36">
        <v>3</v>
      </c>
      <c r="M8" s="36" t="s">
        <v>33</v>
      </c>
      <c r="N8" s="37">
        <v>0.15</v>
      </c>
      <c r="O8" s="36" t="s">
        <v>34</v>
      </c>
      <c r="P8" s="38" t="s">
        <v>35</v>
      </c>
    </row>
    <row r="9" spans="1:16" s="15" customFormat="1" ht="18" customHeight="1" x14ac:dyDescent="0.25">
      <c r="A9" s="9" t="s">
        <v>36</v>
      </c>
      <c r="B9" s="16" t="s">
        <v>37</v>
      </c>
      <c r="C9" s="11">
        <v>44058451</v>
      </c>
      <c r="D9" s="11">
        <v>0</v>
      </c>
      <c r="E9" s="11">
        <v>730000</v>
      </c>
      <c r="F9" s="11">
        <f t="shared" si="0"/>
        <v>43328451</v>
      </c>
      <c r="G9" s="11">
        <v>26658585</v>
      </c>
      <c r="H9" s="12">
        <f t="shared" si="1"/>
        <v>16669866</v>
      </c>
      <c r="I9" s="13">
        <f t="shared" si="2"/>
        <v>1750479.9</v>
      </c>
      <c r="J9" s="13">
        <f t="shared" si="3"/>
        <v>1750479.9</v>
      </c>
      <c r="K9" s="14"/>
      <c r="L9" s="36"/>
      <c r="M9" s="36"/>
      <c r="N9" s="37"/>
      <c r="O9" s="36"/>
      <c r="P9" s="38"/>
    </row>
    <row r="10" spans="1:16" s="15" customFormat="1" ht="18" customHeight="1" x14ac:dyDescent="0.25">
      <c r="A10" s="9" t="s">
        <v>38</v>
      </c>
      <c r="B10" s="16" t="s">
        <v>39</v>
      </c>
      <c r="C10" s="11">
        <v>42802015</v>
      </c>
      <c r="D10" s="10">
        <v>0</v>
      </c>
      <c r="E10" s="11">
        <v>730000</v>
      </c>
      <c r="F10" s="11">
        <f t="shared" si="0"/>
        <v>42072015</v>
      </c>
      <c r="G10" s="11">
        <v>19446401</v>
      </c>
      <c r="H10" s="12">
        <f t="shared" si="1"/>
        <v>22625614</v>
      </c>
      <c r="I10" s="13">
        <f t="shared" si="2"/>
        <v>2875122.8</v>
      </c>
      <c r="J10" s="13">
        <f t="shared" si="3"/>
        <v>2875122.8</v>
      </c>
      <c r="K10" s="14"/>
      <c r="L10" s="36">
        <v>4</v>
      </c>
      <c r="M10" s="36" t="s">
        <v>40</v>
      </c>
      <c r="N10" s="37">
        <v>0.2</v>
      </c>
      <c r="O10" s="36" t="s">
        <v>41</v>
      </c>
      <c r="P10" s="38" t="s">
        <v>42</v>
      </c>
    </row>
    <row r="11" spans="1:16" ht="18" customHeight="1" x14ac:dyDescent="0.25">
      <c r="A11" s="9" t="s">
        <v>43</v>
      </c>
      <c r="B11" s="16" t="s">
        <v>44</v>
      </c>
      <c r="C11" s="11">
        <v>60251697.769751102</v>
      </c>
      <c r="D11" s="11">
        <v>1446999.1534090908</v>
      </c>
      <c r="E11" s="11">
        <v>730000</v>
      </c>
      <c r="F11" s="11">
        <f t="shared" si="0"/>
        <v>58074698.616342008</v>
      </c>
      <c r="G11" s="11">
        <v>12194817</v>
      </c>
      <c r="H11" s="12">
        <f t="shared" si="1"/>
        <v>45879881.616342008</v>
      </c>
      <c r="I11" s="13">
        <f t="shared" si="2"/>
        <v>8219970.404085502</v>
      </c>
      <c r="J11" s="13">
        <f t="shared" si="3"/>
        <v>8219970.404085502</v>
      </c>
      <c r="K11" s="14"/>
      <c r="L11" s="36"/>
      <c r="M11" s="36"/>
      <c r="N11" s="37"/>
      <c r="O11" s="36"/>
      <c r="P11" s="38"/>
    </row>
    <row r="12" spans="1:16" ht="18" customHeight="1" x14ac:dyDescent="0.25">
      <c r="A12" s="9" t="s">
        <v>45</v>
      </c>
      <c r="B12" s="16" t="s">
        <v>46</v>
      </c>
      <c r="C12" s="11">
        <v>65251697.769751102</v>
      </c>
      <c r="D12" s="10">
        <v>2446999.1534090899</v>
      </c>
      <c r="E12" s="11">
        <v>730000</v>
      </c>
      <c r="F12" s="11">
        <f t="shared" si="0"/>
        <v>62074698.616342008</v>
      </c>
      <c r="G12" s="11">
        <v>12194817</v>
      </c>
      <c r="H12" s="12">
        <f t="shared" si="1"/>
        <v>49879881.616342008</v>
      </c>
      <c r="I12" s="13">
        <f t="shared" si="2"/>
        <v>9219970.404085502</v>
      </c>
      <c r="J12" s="13">
        <f t="shared" si="3"/>
        <v>9219970.404085502</v>
      </c>
      <c r="K12" s="14"/>
      <c r="L12" s="36">
        <v>5</v>
      </c>
      <c r="M12" s="36" t="s">
        <v>47</v>
      </c>
      <c r="N12" s="37">
        <v>0.25</v>
      </c>
      <c r="O12" s="36" t="s">
        <v>48</v>
      </c>
      <c r="P12" s="38" t="s">
        <v>49</v>
      </c>
    </row>
    <row r="13" spans="1:16" ht="18" customHeight="1" x14ac:dyDescent="0.25">
      <c r="A13" s="9" t="s">
        <v>50</v>
      </c>
      <c r="B13" s="16" t="s">
        <v>51</v>
      </c>
      <c r="C13" s="11">
        <v>80391960.883522704</v>
      </c>
      <c r="D13" s="11">
        <v>3488494.6278409101</v>
      </c>
      <c r="E13" s="11">
        <v>730000</v>
      </c>
      <c r="F13" s="11">
        <f t="shared" si="0"/>
        <v>76173466.255681798</v>
      </c>
      <c r="G13" s="11">
        <v>12346265</v>
      </c>
      <c r="H13" s="12">
        <f t="shared" si="1"/>
        <v>63827201.255681798</v>
      </c>
      <c r="I13" s="13">
        <f t="shared" si="2"/>
        <v>13298160.37670454</v>
      </c>
      <c r="J13" s="13">
        <f t="shared" si="3"/>
        <v>13298160.37670454</v>
      </c>
      <c r="K13" s="14"/>
      <c r="L13" s="36"/>
      <c r="M13" s="36"/>
      <c r="N13" s="37"/>
      <c r="O13" s="36"/>
      <c r="P13" s="38"/>
    </row>
    <row r="14" spans="1:16" ht="18" customHeight="1" x14ac:dyDescent="0.25">
      <c r="A14" s="9" t="s">
        <v>52</v>
      </c>
      <c r="B14" s="16" t="s">
        <v>53</v>
      </c>
      <c r="C14" s="11">
        <v>90391960.883522704</v>
      </c>
      <c r="D14" s="10">
        <v>4488494.6278409101</v>
      </c>
      <c r="E14" s="11">
        <v>730000</v>
      </c>
      <c r="F14" s="11">
        <f t="shared" si="0"/>
        <v>85173466.255681798</v>
      </c>
      <c r="G14" s="11">
        <v>12346265</v>
      </c>
      <c r="H14" s="12">
        <f t="shared" si="1"/>
        <v>72827201.255681798</v>
      </c>
      <c r="I14" s="13">
        <f t="shared" si="2"/>
        <v>15998160.37670454</v>
      </c>
      <c r="J14" s="13">
        <f t="shared" si="3"/>
        <v>15998160.37670454</v>
      </c>
      <c r="K14" s="14"/>
      <c r="L14" s="36">
        <v>6</v>
      </c>
      <c r="M14" s="36" t="s">
        <v>54</v>
      </c>
      <c r="N14" s="37">
        <v>0.3</v>
      </c>
      <c r="O14" s="36" t="s">
        <v>55</v>
      </c>
      <c r="P14" s="38" t="s">
        <v>56</v>
      </c>
    </row>
    <row r="15" spans="1:16" ht="18" customHeight="1" x14ac:dyDescent="0.25">
      <c r="A15" s="9" t="s">
        <v>57</v>
      </c>
      <c r="B15" s="16" t="s">
        <v>58</v>
      </c>
      <c r="C15" s="11">
        <v>100391960.883522</v>
      </c>
      <c r="D15" s="11">
        <v>5488494.6278409101</v>
      </c>
      <c r="E15" s="11">
        <v>730000</v>
      </c>
      <c r="F15" s="11">
        <f t="shared" si="0"/>
        <v>94173466.255681098</v>
      </c>
      <c r="G15" s="11">
        <v>12346265</v>
      </c>
      <c r="H15" s="12">
        <f t="shared" si="1"/>
        <v>81827201.255681098</v>
      </c>
      <c r="I15" s="13">
        <f t="shared" si="2"/>
        <v>18789520.439488385</v>
      </c>
      <c r="J15" s="13">
        <f t="shared" si="3"/>
        <v>18789520.439488381</v>
      </c>
      <c r="K15" s="14"/>
      <c r="L15" s="36"/>
      <c r="M15" s="36"/>
      <c r="N15" s="37"/>
      <c r="O15" s="36"/>
      <c r="P15" s="38"/>
    </row>
    <row r="16" spans="1:16" ht="18" customHeight="1" x14ac:dyDescent="0.25">
      <c r="A16" s="9" t="s">
        <v>59</v>
      </c>
      <c r="B16" s="16" t="s">
        <v>60</v>
      </c>
      <c r="C16" s="11">
        <v>169091796.774147</v>
      </c>
      <c r="D16" s="10">
        <v>6834645.9247158999</v>
      </c>
      <c r="E16" s="11">
        <v>730000</v>
      </c>
      <c r="F16" s="11">
        <f t="shared" si="0"/>
        <v>161527150.8494311</v>
      </c>
      <c r="G16" s="11">
        <v>16083879</v>
      </c>
      <c r="H16" s="12">
        <f t="shared" si="1"/>
        <v>145443271.8494311</v>
      </c>
      <c r="I16" s="13">
        <f t="shared" si="2"/>
        <v>41055145.147300884</v>
      </c>
      <c r="J16" s="13">
        <f t="shared" si="3"/>
        <v>41055145.147300884</v>
      </c>
      <c r="K16" s="14"/>
      <c r="L16" s="36">
        <v>7</v>
      </c>
      <c r="M16" s="36" t="s">
        <v>61</v>
      </c>
      <c r="N16" s="37">
        <v>0.35</v>
      </c>
      <c r="O16" s="36" t="s">
        <v>62</v>
      </c>
      <c r="P16" s="38" t="s">
        <v>63</v>
      </c>
    </row>
    <row r="17" spans="1:16" x14ac:dyDescent="0.25">
      <c r="H17" s="18"/>
      <c r="I17" s="19"/>
      <c r="J17" s="19"/>
      <c r="K17" s="19"/>
      <c r="L17" s="36"/>
      <c r="M17" s="36"/>
      <c r="N17" s="37"/>
      <c r="O17" s="36"/>
      <c r="P17" s="38"/>
    </row>
    <row r="18" spans="1:16" s="23" customFormat="1" ht="16.350000000000001" customHeight="1" x14ac:dyDescent="0.25">
      <c r="A18" s="41" t="s">
        <v>9</v>
      </c>
      <c r="B18" s="41" t="s">
        <v>10</v>
      </c>
      <c r="C18" s="41" t="s">
        <v>11</v>
      </c>
      <c r="D18" s="41" t="s">
        <v>12</v>
      </c>
      <c r="E18" s="41"/>
      <c r="F18" s="20"/>
      <c r="G18" s="20"/>
      <c r="H18" s="21">
        <v>5000000</v>
      </c>
      <c r="I18" s="21">
        <v>5000000</v>
      </c>
      <c r="J18" s="21">
        <v>8000000</v>
      </c>
      <c r="K18" s="21">
        <f>32000000-18000000</f>
        <v>14000000</v>
      </c>
      <c r="L18" s="21">
        <f>52000000-32000000</f>
        <v>20000000</v>
      </c>
      <c r="M18" s="21">
        <f>80000000-52000000</f>
        <v>28000000</v>
      </c>
      <c r="N18" s="22"/>
      <c r="O18" s="20"/>
    </row>
    <row r="19" spans="1:16" s="23" customFormat="1" ht="16.350000000000001" customHeight="1" x14ac:dyDescent="0.25">
      <c r="A19" s="41"/>
      <c r="B19" s="41"/>
      <c r="C19" s="41"/>
      <c r="D19" s="5" t="s">
        <v>15</v>
      </c>
      <c r="E19" s="7" t="s">
        <v>16</v>
      </c>
      <c r="F19" s="24" t="s">
        <v>64</v>
      </c>
      <c r="G19" s="25" t="s">
        <v>11</v>
      </c>
      <c r="H19" s="26">
        <v>0.05</v>
      </c>
      <c r="I19" s="27">
        <v>0.1</v>
      </c>
      <c r="J19" s="26">
        <v>0.15</v>
      </c>
      <c r="K19" s="27">
        <v>0.2</v>
      </c>
      <c r="L19" s="26">
        <v>0.25</v>
      </c>
      <c r="M19" s="27">
        <v>0.3</v>
      </c>
      <c r="N19" s="26">
        <v>0.35</v>
      </c>
      <c r="O19" s="20"/>
    </row>
    <row r="20" spans="1:16" s="23" customFormat="1" ht="16.350000000000001" customHeight="1" x14ac:dyDescent="0.25">
      <c r="A20" s="36">
        <v>1</v>
      </c>
      <c r="B20" s="36" t="s">
        <v>19</v>
      </c>
      <c r="C20" s="37">
        <v>0.05</v>
      </c>
      <c r="D20" s="36" t="s">
        <v>20</v>
      </c>
      <c r="E20" s="38" t="s">
        <v>21</v>
      </c>
      <c r="F20" s="39">
        <v>4580637.8571428582</v>
      </c>
      <c r="G20" s="28" t="s">
        <v>65</v>
      </c>
      <c r="H20" s="29">
        <f>F20</f>
        <v>4580637.8571428582</v>
      </c>
      <c r="I20" s="29"/>
      <c r="J20" s="29"/>
      <c r="K20" s="29"/>
      <c r="L20" s="29"/>
      <c r="M20" s="29"/>
      <c r="N20" s="29"/>
      <c r="O20" s="20"/>
    </row>
    <row r="21" spans="1:16" s="23" customFormat="1" ht="16.350000000000001" customHeight="1" x14ac:dyDescent="0.25">
      <c r="A21" s="36"/>
      <c r="B21" s="36"/>
      <c r="C21" s="37"/>
      <c r="D21" s="36"/>
      <c r="E21" s="38"/>
      <c r="F21" s="39"/>
      <c r="G21" s="30">
        <f>SUM(H21:N21)</f>
        <v>229031.89285714293</v>
      </c>
      <c r="H21" s="29">
        <f>H20*H$19</f>
        <v>229031.89285714293</v>
      </c>
      <c r="I21" s="29">
        <f>I20*I$19</f>
        <v>0</v>
      </c>
      <c r="J21" s="29">
        <f t="shared" ref="J21:N21" si="4">J20*J$19</f>
        <v>0</v>
      </c>
      <c r="K21" s="29">
        <f t="shared" si="4"/>
        <v>0</v>
      </c>
      <c r="L21" s="29">
        <f t="shared" si="4"/>
        <v>0</v>
      </c>
      <c r="M21" s="29">
        <f t="shared" si="4"/>
        <v>0</v>
      </c>
      <c r="N21" s="29">
        <f t="shared" si="4"/>
        <v>0</v>
      </c>
      <c r="O21" s="20"/>
    </row>
    <row r="22" spans="1:16" s="23" customFormat="1" ht="0.6" customHeight="1" x14ac:dyDescent="0.25">
      <c r="A22" s="36">
        <v>2</v>
      </c>
      <c r="B22" s="36" t="s">
        <v>26</v>
      </c>
      <c r="C22" s="37">
        <v>0.1</v>
      </c>
      <c r="D22" s="36" t="s">
        <v>27</v>
      </c>
      <c r="E22" s="38" t="s">
        <v>28</v>
      </c>
      <c r="F22" s="40">
        <v>6944469</v>
      </c>
      <c r="G22" s="12" t="s">
        <v>65</v>
      </c>
      <c r="H22" s="31">
        <v>5000000</v>
      </c>
      <c r="I22" s="31">
        <f>F22-H22</f>
        <v>1944469</v>
      </c>
      <c r="J22" s="31"/>
      <c r="K22" s="31"/>
      <c r="L22" s="31"/>
      <c r="M22" s="31"/>
      <c r="N22" s="31"/>
      <c r="O22" s="20"/>
    </row>
    <row r="23" spans="1:16" s="23" customFormat="1" ht="20.45" customHeight="1" x14ac:dyDescent="0.25">
      <c r="A23" s="36"/>
      <c r="B23" s="36"/>
      <c r="C23" s="37"/>
      <c r="D23" s="36"/>
      <c r="E23" s="38"/>
      <c r="F23" s="40"/>
      <c r="G23" s="32">
        <f>SUM(H23:N23)</f>
        <v>444446.9</v>
      </c>
      <c r="H23" s="31">
        <f>H22*H$19</f>
        <v>250000</v>
      </c>
      <c r="I23" s="31">
        <f>I22*I$19</f>
        <v>194446.90000000002</v>
      </c>
      <c r="J23" s="31">
        <f t="shared" ref="J23:N23" si="5">J22*J$19</f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20"/>
    </row>
    <row r="24" spans="1:16" s="23" customFormat="1" ht="16.350000000000001" customHeight="1" x14ac:dyDescent="0.25">
      <c r="A24" s="36">
        <v>3</v>
      </c>
      <c r="B24" s="36" t="s">
        <v>33</v>
      </c>
      <c r="C24" s="37">
        <v>0.15</v>
      </c>
      <c r="D24" s="36" t="s">
        <v>34</v>
      </c>
      <c r="E24" s="38" t="s">
        <v>35</v>
      </c>
      <c r="F24" s="39">
        <v>16669866</v>
      </c>
      <c r="G24" s="28" t="s">
        <v>65</v>
      </c>
      <c r="H24" s="29">
        <v>5000000</v>
      </c>
      <c r="I24" s="29">
        <v>5000000</v>
      </c>
      <c r="J24" s="29">
        <f>F24-H24-I24</f>
        <v>6669866</v>
      </c>
      <c r="K24" s="29"/>
      <c r="L24" s="29"/>
      <c r="M24" s="29"/>
      <c r="N24" s="29"/>
      <c r="O24" s="20"/>
    </row>
    <row r="25" spans="1:16" s="23" customFormat="1" ht="16.350000000000001" customHeight="1" x14ac:dyDescent="0.25">
      <c r="A25" s="36"/>
      <c r="B25" s="36"/>
      <c r="C25" s="37"/>
      <c r="D25" s="36"/>
      <c r="E25" s="38"/>
      <c r="F25" s="39"/>
      <c r="G25" s="30">
        <f>SUM(H25:N25)</f>
        <v>1750479.9</v>
      </c>
      <c r="H25" s="29">
        <f>H24*H$19</f>
        <v>250000</v>
      </c>
      <c r="I25" s="29">
        <f>I24*I$19</f>
        <v>500000</v>
      </c>
      <c r="J25" s="29">
        <f t="shared" ref="J25:N25" si="6">J24*J$19</f>
        <v>1000479.8999999999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6"/>
        <v>0</v>
      </c>
      <c r="O25" s="20"/>
    </row>
    <row r="26" spans="1:16" s="23" customFormat="1" ht="16.350000000000001" customHeight="1" x14ac:dyDescent="0.25">
      <c r="A26" s="36">
        <v>4</v>
      </c>
      <c r="B26" s="36" t="s">
        <v>40</v>
      </c>
      <c r="C26" s="37">
        <v>0.2</v>
      </c>
      <c r="D26" s="36" t="s">
        <v>41</v>
      </c>
      <c r="E26" s="38" t="s">
        <v>42</v>
      </c>
      <c r="F26" s="40">
        <v>22625614</v>
      </c>
      <c r="G26" s="12" t="s">
        <v>65</v>
      </c>
      <c r="H26" s="31">
        <v>5000000</v>
      </c>
      <c r="I26" s="31">
        <v>5000000</v>
      </c>
      <c r="J26" s="31">
        <v>8000000</v>
      </c>
      <c r="K26" s="31">
        <f>F26-SUM(H26:J26)</f>
        <v>4625614</v>
      </c>
      <c r="L26" s="31"/>
      <c r="M26" s="31"/>
      <c r="N26" s="31"/>
      <c r="O26" s="20"/>
    </row>
    <row r="27" spans="1:16" s="23" customFormat="1" ht="16.350000000000001" customHeight="1" x14ac:dyDescent="0.25">
      <c r="A27" s="36"/>
      <c r="B27" s="36"/>
      <c r="C27" s="37"/>
      <c r="D27" s="36"/>
      <c r="E27" s="38"/>
      <c r="F27" s="40"/>
      <c r="G27" s="32">
        <f>SUM(H27:N27)</f>
        <v>2875122.8</v>
      </c>
      <c r="H27" s="31">
        <f>H26*H$19</f>
        <v>250000</v>
      </c>
      <c r="I27" s="31">
        <f>I26*I$19</f>
        <v>500000</v>
      </c>
      <c r="J27" s="31">
        <f t="shared" ref="J27:N27" si="7">J26*J$19</f>
        <v>1200000</v>
      </c>
      <c r="K27" s="31">
        <f t="shared" si="7"/>
        <v>925122.8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20"/>
    </row>
    <row r="28" spans="1:16" s="23" customFormat="1" ht="16.350000000000001" customHeight="1" x14ac:dyDescent="0.25">
      <c r="A28" s="36">
        <v>5</v>
      </c>
      <c r="B28" s="36" t="s">
        <v>47</v>
      </c>
      <c r="C28" s="37">
        <v>0.25</v>
      </c>
      <c r="D28" s="36" t="s">
        <v>48</v>
      </c>
      <c r="E28" s="38" t="s">
        <v>49</v>
      </c>
      <c r="F28" s="39">
        <v>45879881.616342008</v>
      </c>
      <c r="G28" s="28" t="s">
        <v>65</v>
      </c>
      <c r="H28" s="29">
        <v>5000000</v>
      </c>
      <c r="I28" s="29">
        <v>5000000</v>
      </c>
      <c r="J28" s="29">
        <v>8000000</v>
      </c>
      <c r="K28" s="29">
        <f>(32000000-18000000)</f>
        <v>14000000</v>
      </c>
      <c r="L28" s="29">
        <f>F28-SUM(H28:K28)</f>
        <v>13879881.616342008</v>
      </c>
      <c r="M28" s="29"/>
      <c r="N28" s="29"/>
      <c r="O28" s="20"/>
    </row>
    <row r="29" spans="1:16" s="23" customFormat="1" ht="16.350000000000001" customHeight="1" x14ac:dyDescent="0.25">
      <c r="A29" s="36"/>
      <c r="B29" s="36"/>
      <c r="C29" s="37"/>
      <c r="D29" s="36"/>
      <c r="E29" s="38"/>
      <c r="F29" s="39"/>
      <c r="G29" s="30">
        <f>SUM(H29:N29)</f>
        <v>8219970.404085502</v>
      </c>
      <c r="H29" s="29">
        <f>H28*H$19</f>
        <v>250000</v>
      </c>
      <c r="I29" s="29">
        <f>I28*I$19</f>
        <v>500000</v>
      </c>
      <c r="J29" s="29">
        <f t="shared" ref="J29:N29" si="8">J28*J$19</f>
        <v>1200000</v>
      </c>
      <c r="K29" s="29">
        <f t="shared" si="8"/>
        <v>2800000</v>
      </c>
      <c r="L29" s="29">
        <f t="shared" si="8"/>
        <v>3469970.404085502</v>
      </c>
      <c r="M29" s="29">
        <f t="shared" si="8"/>
        <v>0</v>
      </c>
      <c r="N29" s="29">
        <f t="shared" si="8"/>
        <v>0</v>
      </c>
      <c r="O29" s="20"/>
    </row>
    <row r="30" spans="1:16" s="23" customFormat="1" ht="16.350000000000001" customHeight="1" x14ac:dyDescent="0.25">
      <c r="A30" s="36">
        <v>6</v>
      </c>
      <c r="B30" s="36" t="s">
        <v>54</v>
      </c>
      <c r="C30" s="37">
        <v>0.3</v>
      </c>
      <c r="D30" s="36" t="s">
        <v>55</v>
      </c>
      <c r="E30" s="38" t="s">
        <v>56</v>
      </c>
      <c r="F30" s="40">
        <v>63827201.255681798</v>
      </c>
      <c r="G30" s="12" t="s">
        <v>65</v>
      </c>
      <c r="H30" s="31">
        <v>5000000</v>
      </c>
      <c r="I30" s="31">
        <v>5000000</v>
      </c>
      <c r="J30" s="31">
        <v>8000000</v>
      </c>
      <c r="K30" s="31">
        <v>14000000</v>
      </c>
      <c r="L30" s="31">
        <v>20000000</v>
      </c>
      <c r="M30" s="33">
        <f>F30-SUM(H30:L30)</f>
        <v>11827201.255681798</v>
      </c>
      <c r="N30" s="31"/>
      <c r="O30" s="20"/>
    </row>
    <row r="31" spans="1:16" s="23" customFormat="1" ht="16.350000000000001" customHeight="1" x14ac:dyDescent="0.25">
      <c r="A31" s="36"/>
      <c r="B31" s="36"/>
      <c r="C31" s="37"/>
      <c r="D31" s="36"/>
      <c r="E31" s="38"/>
      <c r="F31" s="40"/>
      <c r="G31" s="32">
        <f>SUM(H31:N31)</f>
        <v>13298160.37670454</v>
      </c>
      <c r="H31" s="31">
        <f>H30*H$19</f>
        <v>250000</v>
      </c>
      <c r="I31" s="31">
        <f>I30*I$19</f>
        <v>500000</v>
      </c>
      <c r="J31" s="31">
        <f t="shared" ref="J31:N31" si="9">J30*J$19</f>
        <v>1200000</v>
      </c>
      <c r="K31" s="31">
        <f t="shared" si="9"/>
        <v>2800000</v>
      </c>
      <c r="L31" s="31">
        <f t="shared" si="9"/>
        <v>5000000</v>
      </c>
      <c r="M31" s="31">
        <f t="shared" si="9"/>
        <v>3548160.3767045392</v>
      </c>
      <c r="N31" s="31">
        <f t="shared" si="9"/>
        <v>0</v>
      </c>
      <c r="O31" s="20"/>
    </row>
    <row r="32" spans="1:16" s="23" customFormat="1" ht="16.350000000000001" customHeight="1" x14ac:dyDescent="0.25">
      <c r="A32" s="36">
        <v>7</v>
      </c>
      <c r="B32" s="36" t="s">
        <v>61</v>
      </c>
      <c r="C32" s="37">
        <v>0.35</v>
      </c>
      <c r="D32" s="36" t="s">
        <v>62</v>
      </c>
      <c r="E32" s="38" t="s">
        <v>63</v>
      </c>
      <c r="F32" s="39">
        <v>145443271.8494311</v>
      </c>
      <c r="G32" s="28" t="s">
        <v>65</v>
      </c>
      <c r="H32" s="29">
        <v>5000000</v>
      </c>
      <c r="I32" s="29">
        <v>5000000</v>
      </c>
      <c r="J32" s="29">
        <v>8000000</v>
      </c>
      <c r="K32" s="29">
        <v>14000000</v>
      </c>
      <c r="L32" s="29">
        <v>20000000</v>
      </c>
      <c r="M32" s="29">
        <v>28000000</v>
      </c>
      <c r="N32" s="34">
        <f>F32-SUM(H32:M32)</f>
        <v>65443271.849431098</v>
      </c>
      <c r="O32" s="20"/>
    </row>
    <row r="33" spans="1:15" s="23" customFormat="1" ht="16.350000000000001" customHeight="1" x14ac:dyDescent="0.25">
      <c r="A33" s="36"/>
      <c r="B33" s="36"/>
      <c r="C33" s="37"/>
      <c r="D33" s="36"/>
      <c r="E33" s="38"/>
      <c r="F33" s="39"/>
      <c r="G33" s="30">
        <f>SUM(H33:N33)</f>
        <v>41055145.147300884</v>
      </c>
      <c r="H33" s="29">
        <f>H32*H$19</f>
        <v>250000</v>
      </c>
      <c r="I33" s="29">
        <f>I32*I$19</f>
        <v>500000</v>
      </c>
      <c r="J33" s="29">
        <f t="shared" ref="J33:N33" si="10">J32*J$19</f>
        <v>1200000</v>
      </c>
      <c r="K33" s="29">
        <f t="shared" si="10"/>
        <v>2800000</v>
      </c>
      <c r="L33" s="29">
        <f t="shared" si="10"/>
        <v>5000000</v>
      </c>
      <c r="M33" s="29">
        <f t="shared" si="10"/>
        <v>8400000</v>
      </c>
      <c r="N33" s="29">
        <f t="shared" si="10"/>
        <v>22905145.147300884</v>
      </c>
      <c r="O33" s="20"/>
    </row>
    <row r="34" spans="1:15" x14ac:dyDescent="0.25">
      <c r="E34" s="1" t="s">
        <v>66</v>
      </c>
      <c r="H34" s="35"/>
      <c r="I34" s="35"/>
      <c r="J34" s="35"/>
      <c r="K34" s="35"/>
    </row>
    <row r="35" spans="1:15" x14ac:dyDescent="0.25">
      <c r="H35" s="18"/>
      <c r="I35" s="18"/>
      <c r="J35" s="18"/>
      <c r="K35" s="18"/>
    </row>
  </sheetData>
  <mergeCells count="95">
    <mergeCell ref="A1:J1"/>
    <mergeCell ref="A2:B2"/>
    <mergeCell ref="C2:C3"/>
    <mergeCell ref="D2:D3"/>
    <mergeCell ref="E2:E3"/>
    <mergeCell ref="F2:F3"/>
    <mergeCell ref="G2:G3"/>
    <mergeCell ref="H2:H3"/>
    <mergeCell ref="I2:I3"/>
    <mergeCell ref="J2:J3"/>
    <mergeCell ref="L2:L3"/>
    <mergeCell ref="M2:M3"/>
    <mergeCell ref="N2:N3"/>
    <mergeCell ref="O2:P2"/>
    <mergeCell ref="L4:L5"/>
    <mergeCell ref="M4:M5"/>
    <mergeCell ref="N4:N5"/>
    <mergeCell ref="O4:O5"/>
    <mergeCell ref="P4:P5"/>
    <mergeCell ref="L8:L9"/>
    <mergeCell ref="M8:M9"/>
    <mergeCell ref="N8:N9"/>
    <mergeCell ref="O8:O9"/>
    <mergeCell ref="P8:P9"/>
    <mergeCell ref="L6:L7"/>
    <mergeCell ref="M6:M7"/>
    <mergeCell ref="N6:N7"/>
    <mergeCell ref="O6:O7"/>
    <mergeCell ref="P6:P7"/>
    <mergeCell ref="L12:L13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L16:L17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A18:A19"/>
    <mergeCell ref="B18:B19"/>
    <mergeCell ref="C18:C19"/>
    <mergeCell ref="D18:E18"/>
    <mergeCell ref="A20:A21"/>
    <mergeCell ref="B20:B21"/>
    <mergeCell ref="C20:C21"/>
    <mergeCell ref="D20:D21"/>
    <mergeCell ref="E20:E21"/>
    <mergeCell ref="F24:F25"/>
    <mergeCell ref="F20:F21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8:F29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D28:D29"/>
    <mergeCell ref="E28:E29"/>
    <mergeCell ref="F32:F33"/>
    <mergeCell ref="A30:A31"/>
    <mergeCell ref="B30:B31"/>
    <mergeCell ref="C30:C31"/>
    <mergeCell ref="D30:D31"/>
    <mergeCell ref="E30:E31"/>
    <mergeCell ref="F30:F31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thue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Sang</cp:lastModifiedBy>
  <dcterms:created xsi:type="dcterms:W3CDTF">2020-02-24T03:44:47Z</dcterms:created>
  <dcterms:modified xsi:type="dcterms:W3CDTF">2023-11-07T07:40:55Z</dcterms:modified>
</cp:coreProperties>
</file>